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декабрь 2016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<sst xmlns="http://schemas.openxmlformats.org/spreadsheetml/2006/main" count="6583" uniqueCount="691">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</sst>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49" fontId="67" fillId="0" borderId="64" xfId="1103" applyFont="1" applyBorder="1" applyAlignment="1" applyProtection="1">
      <alignment horizontal="center" vertical="center"/>
    </xf>
    <xf numFmtId="0" fontId="68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0" fontId="62" fillId="0" borderId="64" xfId="1098" applyFont="1" applyBorder="1" applyAlignment="1">
      <alignment horizontal="center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19" fillId="0" borderId="14" xfId="1107" applyFont="1" applyBorder="1" applyAlignment="1" applyProtection="1">
      <alignment horizontal="center" vertical="center" wrapText="1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19" fillId="0" borderId="57" xfId="1107" applyFont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78" t="e">
        <f ca="1">"Версия " &amp; GetVersion()</f>
        <v>#NAME?</v>
      </c>
      <c r="O2" s="178"/>
      <c r="P2" s="178"/>
      <c r="Q2" s="63"/>
    </row>
    <row r="3" spans="2:17" s="16" customFormat="1" ht="30.75" customHeight="1" thickBot="1" x14ac:dyDescent="0.25">
      <c r="B3" s="62"/>
      <c r="C3" s="179" t="s">
        <v>151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62" t="s">
        <v>161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8" t="s">
        <v>157</v>
      </c>
      <c r="E29" s="168"/>
      <c r="F29" s="168"/>
      <c r="G29" s="168"/>
      <c r="H29" s="168"/>
      <c r="I29" s="168"/>
      <c r="J29" s="182"/>
      <c r="K29" s="182"/>
      <c r="L29" s="182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70" t="s">
        <v>158</v>
      </c>
      <c r="E30" s="174"/>
      <c r="F30" s="183" t="s">
        <v>168</v>
      </c>
      <c r="G30" s="184"/>
      <c r="H30" s="184"/>
      <c r="I30" s="184"/>
      <c r="J30" s="184"/>
      <c r="K30" s="184"/>
      <c r="L30" s="185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70" t="s">
        <v>159</v>
      </c>
      <c r="E31" s="174"/>
      <c r="F31" s="175" t="s">
        <v>172</v>
      </c>
      <c r="G31" s="176"/>
      <c r="H31" s="176"/>
      <c r="I31" s="176"/>
      <c r="J31" s="176"/>
      <c r="K31" s="176"/>
      <c r="L31" s="177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63" t="s">
        <v>117</v>
      </c>
      <c r="E32" s="164"/>
      <c r="F32" s="165" t="s">
        <v>118</v>
      </c>
      <c r="G32" s="166"/>
      <c r="H32" s="166"/>
      <c r="I32" s="166"/>
      <c r="J32" s="166"/>
      <c r="K32" s="166"/>
      <c r="L32" s="167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8" t="s">
        <v>119</v>
      </c>
      <c r="E34" s="168"/>
      <c r="F34" s="168"/>
      <c r="G34" s="168"/>
      <c r="H34" s="168"/>
      <c r="I34" s="168"/>
      <c r="J34" s="169"/>
      <c r="K34" s="169"/>
      <c r="L34" s="16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70" t="s">
        <v>160</v>
      </c>
      <c r="E35" s="171"/>
      <c r="F35" s="155" t="s">
        <v>169</v>
      </c>
      <c r="G35" s="155"/>
      <c r="H35" s="155"/>
      <c r="I35" s="155"/>
      <c r="J35" s="155"/>
      <c r="K35" s="155"/>
      <c r="L35" s="156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70" t="s">
        <v>158</v>
      </c>
      <c r="E36" s="171"/>
      <c r="F36" s="172" t="s">
        <v>170</v>
      </c>
      <c r="G36" s="172"/>
      <c r="H36" s="172"/>
      <c r="I36" s="172"/>
      <c r="J36" s="172"/>
      <c r="K36" s="172"/>
      <c r="L36" s="173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52" t="s">
        <v>159</v>
      </c>
      <c r="E37" s="153"/>
      <c r="F37" s="154"/>
      <c r="G37" s="155"/>
      <c r="H37" s="155"/>
      <c r="I37" s="155"/>
      <c r="J37" s="155"/>
      <c r="K37" s="155"/>
      <c r="L37" s="156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57" t="s">
        <v>117</v>
      </c>
      <c r="E38" s="158"/>
      <c r="F38" s="159" t="s">
        <v>171</v>
      </c>
      <c r="G38" s="160"/>
      <c r="H38" s="160"/>
      <c r="I38" s="160"/>
      <c r="J38" s="160"/>
      <c r="K38" s="160"/>
      <c r="L38" s="161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N2:P2"/>
    <mergeCell ref="C3:P3"/>
    <mergeCell ref="D29:L29"/>
    <mergeCell ref="D30:E30"/>
    <mergeCell ref="F30:L30"/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8" zoomScaleNormal="100" workbookViewId="0">
      <selection activeCell="G25" sqref="G25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13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683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684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681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682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689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685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690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J23" sqref="J23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15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Декабрь 2016 года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140"/>
    </row>
    <row r="11" spans="1:24" s="50" customFormat="1" ht="15" customHeight="1" thickBot="1" x14ac:dyDescent="0.25">
      <c r="C11" s="134"/>
      <c r="D11" s="218" t="str">
        <f>"ОРГАНИЗАЦИЯ: " &amp; IF(org="","Не определено",org)</f>
        <v>ОРГАНИЗАЦИЯ: ООО "Дорстрой"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10" t="s">
        <v>29</v>
      </c>
      <c r="E13" s="21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21" t="s">
        <v>137</v>
      </c>
      <c r="X13" s="141"/>
    </row>
    <row r="14" spans="1:24" ht="17.25" customHeight="1" x14ac:dyDescent="0.2">
      <c r="C14" s="133"/>
      <c r="D14" s="211"/>
      <c r="E14" s="213"/>
      <c r="F14" s="213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22"/>
      <c r="X14" s="141"/>
    </row>
    <row r="15" spans="1:24" ht="60" customHeight="1" x14ac:dyDescent="0.2">
      <c r="C15" s="133"/>
      <c r="D15" s="211"/>
      <c r="E15" s="213"/>
      <c r="F15" s="213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22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06" t="str">
        <f>IF(_prd2="","Не определено",_prd2)</f>
        <v>Декабрь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8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755.46800000000007</v>
      </c>
      <c r="G20" s="48">
        <f t="shared" si="0"/>
        <v>58.043000000000006</v>
      </c>
      <c r="H20" s="48">
        <f t="shared" si="0"/>
        <v>0.81399999999999995</v>
      </c>
      <c r="I20" s="48">
        <f t="shared" si="0"/>
        <v>0</v>
      </c>
      <c r="J20" s="48">
        <f t="shared" si="0"/>
        <v>0.39800000000000002</v>
      </c>
      <c r="K20" s="48">
        <f t="shared" si="0"/>
        <v>56.831000000000003</v>
      </c>
      <c r="L20" s="48">
        <f t="shared" si="0"/>
        <v>697.42500000000007</v>
      </c>
      <c r="M20" s="48">
        <f t="shared" si="0"/>
        <v>468.61900000000003</v>
      </c>
      <c r="N20" s="48">
        <f t="shared" si="0"/>
        <v>0</v>
      </c>
      <c r="O20" s="48">
        <f t="shared" si="0"/>
        <v>228.80600000000001</v>
      </c>
      <c r="P20" s="48">
        <f t="shared" si="0"/>
        <v>0</v>
      </c>
      <c r="Q20" s="48">
        <f>IF(G20=0,0,T20/G20)</f>
        <v>1.7183065971779541</v>
      </c>
      <c r="R20" s="48">
        <f>IF(L20=0,0,U20/L20)</f>
        <v>1.9782799999999998</v>
      </c>
      <c r="S20" s="48">
        <f>SUM(S21:S24)</f>
        <v>1479.4375988199999</v>
      </c>
      <c r="T20" s="48">
        <f>SUM(T21:T24)</f>
        <v>99.735669819999998</v>
      </c>
      <c r="U20" s="48">
        <f>SUM(U21:U24)</f>
        <v>1379.7019290000001</v>
      </c>
      <c r="V20" s="48">
        <f>SUM(V21:V24)</f>
        <v>0</v>
      </c>
      <c r="W20" s="131">
        <f>SUM(W21:W24)</f>
        <v>1479.4375988199999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686</v>
      </c>
      <c r="D22" s="144" t="s">
        <v>687</v>
      </c>
      <c r="E22" s="58" t="s">
        <v>248</v>
      </c>
      <c r="F22" s="48">
        <f>G22+L22</f>
        <v>56.831000000000003</v>
      </c>
      <c r="G22" s="48">
        <f>H22+I22+J22+K22</f>
        <v>56.831000000000003</v>
      </c>
      <c r="H22" s="56"/>
      <c r="I22" s="56"/>
      <c r="J22" s="56"/>
      <c r="K22" s="56">
        <v>56.831000000000003</v>
      </c>
      <c r="L22" s="48">
        <f>M22+N22+O22+P22</f>
        <v>0</v>
      </c>
      <c r="M22" s="56"/>
      <c r="N22" s="56"/>
      <c r="O22" s="56"/>
      <c r="P22" s="56"/>
      <c r="Q22" s="56">
        <v>1.7104999999999999</v>
      </c>
      <c r="R22" s="56"/>
      <c r="S22" s="48">
        <f>T22+U22</f>
        <v>97.209425499999995</v>
      </c>
      <c r="T22" s="56">
        <f>K22*Q22</f>
        <v>97.209425499999995</v>
      </c>
      <c r="U22" s="56">
        <f>P22*R22</f>
        <v>0</v>
      </c>
      <c r="V22" s="56"/>
      <c r="W22" s="57">
        <f>S22-V22</f>
        <v>97.209425499999995</v>
      </c>
      <c r="X22" s="143"/>
    </row>
    <row r="23" spans="1:24" ht="30" customHeight="1" x14ac:dyDescent="0.2">
      <c r="C23" s="151" t="s">
        <v>686</v>
      </c>
      <c r="D23" s="144" t="s">
        <v>688</v>
      </c>
      <c r="E23" s="58" t="s">
        <v>271</v>
      </c>
      <c r="F23" s="48">
        <f>G23+L23</f>
        <v>698.63700000000006</v>
      </c>
      <c r="G23" s="48">
        <f>H23+I23+J23+K23</f>
        <v>1.212</v>
      </c>
      <c r="H23" s="56">
        <v>0.81399999999999995</v>
      </c>
      <c r="I23" s="56"/>
      <c r="J23" s="56">
        <v>0.39800000000000002</v>
      </c>
      <c r="K23" s="56"/>
      <c r="L23" s="48">
        <f>M23+N23+O23+P23</f>
        <v>697.42500000000007</v>
      </c>
      <c r="M23" s="56">
        <v>468.61900000000003</v>
      </c>
      <c r="N23" s="56"/>
      <c r="O23" s="56">
        <v>228.80600000000001</v>
      </c>
      <c r="P23" s="56"/>
      <c r="Q23" s="56">
        <v>2.0843600000000002</v>
      </c>
      <c r="R23" s="56">
        <v>1.97828</v>
      </c>
      <c r="S23" s="48">
        <f>T23+U23</f>
        <v>1382.22817332</v>
      </c>
      <c r="T23" s="56">
        <f>H23*Q23+J23*Q23</f>
        <v>2.52624432</v>
      </c>
      <c r="U23" s="56">
        <f>M23*R23+O23*R23</f>
        <v>1379.7019290000001</v>
      </c>
      <c r="V23" s="56"/>
      <c r="W23" s="57">
        <f>S23-V23</f>
        <v>1382.22817332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  <mergeCell ref="D18:W18"/>
    <mergeCell ref="R14:R15"/>
    <mergeCell ref="D13:D15"/>
    <mergeCell ref="E13:E15"/>
    <mergeCell ref="F13:P13"/>
    <mergeCell ref="Q13:R13"/>
    <mergeCell ref="S13:U13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2017-01-17T05:58:14Z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